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1340" windowHeight="8835" activeTab="0"/>
  </bookViews>
  <sheets>
    <sheet name="Ark" sheetId="7" r:id="rId1"/>
    <sheet name="Ark1" sheetId="6" r:id="rId2"/>
  </sheets>
  <definedNames/>
  <calcPr calcId="145621"/>
</workbook>
</file>

<file path=xl/comments1.xml><?xml version="1.0" encoding="utf-8"?>
<comments xmlns="http://schemas.openxmlformats.org/spreadsheetml/2006/main">
  <authors>
    <author>Lissy Andersen</author>
  </authors>
  <commentList>
    <comment ref="T4" authorId="0">
      <text>
        <r>
          <rPr>
            <b/>
            <sz val="9"/>
            <rFont val="Tahoma"/>
            <family val="2"/>
          </rPr>
          <t>Lissy Andersen:</t>
        </r>
        <r>
          <rPr>
            <sz val="9"/>
            <rFont val="Tahoma"/>
            <family val="2"/>
          </rPr>
          <t xml:space="preserve">
Husk at rette tallene pr. 15/10-2014
</t>
        </r>
      </text>
    </comment>
    <comment ref="Z4" authorId="0">
      <text>
        <r>
          <rPr>
            <b/>
            <sz val="9"/>
            <rFont val="Tahoma"/>
            <family val="2"/>
          </rPr>
          <t>Lissy Andersen:</t>
        </r>
        <r>
          <rPr>
            <sz val="9"/>
            <rFont val="Tahoma"/>
            <family val="2"/>
          </rPr>
          <t xml:space="preserve">
Husk at rette tallene pr. 15/10-2014
</t>
        </r>
      </text>
    </comment>
    <comment ref="AF4" authorId="0">
      <text>
        <r>
          <rPr>
            <b/>
            <sz val="9"/>
            <rFont val="Tahoma"/>
            <family val="2"/>
          </rPr>
          <t>Lissy Andersen:</t>
        </r>
        <r>
          <rPr>
            <sz val="9"/>
            <rFont val="Tahoma"/>
            <family val="2"/>
          </rPr>
          <t xml:space="preserve">
Husk at rette tallene pr. 15/10-2014
</t>
        </r>
      </text>
    </comment>
  </commentList>
</comments>
</file>

<file path=xl/sharedStrings.xml><?xml version="1.0" encoding="utf-8"?>
<sst xmlns="http://schemas.openxmlformats.org/spreadsheetml/2006/main" count="63" uniqueCount="39">
  <si>
    <t>Antal børn, heldags</t>
  </si>
  <si>
    <t>Antal børn, morgen</t>
  </si>
  <si>
    <t>Antal børn, efter-middag</t>
  </si>
  <si>
    <t>Antal børn, i alt</t>
  </si>
  <si>
    <t>Agerbæk SFO</t>
  </si>
  <si>
    <t>Alslev SFO - Huset</t>
  </si>
  <si>
    <t>Brorsonskolens SFO</t>
  </si>
  <si>
    <t>Nordenskov SFO</t>
  </si>
  <si>
    <t>Næsbjerg SFO</t>
  </si>
  <si>
    <t xml:space="preserve">Nørre Nebel SFO                            </t>
  </si>
  <si>
    <t>Starup SFO</t>
  </si>
  <si>
    <t>Thorstrup Skoles SFO</t>
  </si>
  <si>
    <t>Årre SFO</t>
  </si>
  <si>
    <t>Samlede tal</t>
  </si>
  <si>
    <t xml:space="preserve">Ølgod Skoles SFO </t>
  </si>
  <si>
    <t>Blåvandshuk SFO</t>
  </si>
  <si>
    <t xml:space="preserve">Ansager Skoles SFO </t>
  </si>
  <si>
    <t>Billum Skoles SFO</t>
  </si>
  <si>
    <t>Horne Skoles SFO</t>
  </si>
  <si>
    <t>Janderup Skoles SFO</t>
  </si>
  <si>
    <t xml:space="preserve">Lunde-Kvong SFO </t>
  </si>
  <si>
    <t>Lykkesgårdsskolens SFO</t>
  </si>
  <si>
    <t xml:space="preserve">Outrup SFO    </t>
  </si>
  <si>
    <t>Sct. Jacobi Skoles SFO</t>
  </si>
  <si>
    <t>Tistrup Skoles SFO</t>
  </si>
  <si>
    <t>Dækningsgrad</t>
  </si>
  <si>
    <t>Antal mulige i 0.-3. kl.</t>
  </si>
  <si>
    <t>Antal børn i SFO</t>
  </si>
  <si>
    <t xml:space="preserve">Ændring </t>
  </si>
  <si>
    <t>Den 15. oktober  er en udmeldelsesdato, derfor er tallene opgjort pr. 16. oktober</t>
  </si>
  <si>
    <t>Ændring  i % på eftermiddagsmodul</t>
  </si>
  <si>
    <t>Ændring  i % på heldags-modul</t>
  </si>
  <si>
    <t>Antal ændret i forhold til 5/9-2014</t>
  </si>
  <si>
    <t>Udviklingen i antal børn i SFO i skoleåret 2014/15</t>
  </si>
  <si>
    <t xml:space="preserve">Ændring i forhold til 5/9-2013 </t>
  </si>
  <si>
    <t>% ændring i forhold til 5/9-2014</t>
  </si>
  <si>
    <t>Dok. 169528-14</t>
  </si>
  <si>
    <t>Den 15. marts  er en udmeldelsesdato, derfor er tallene opgjort pr. 16. marts</t>
  </si>
  <si>
    <t>I forhold til 5/9-2014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</si>
</sst>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0" fontId="2" fillId="2" borderId="2" xfId="0" applyFont="1" applyFill="1" applyBorder="1"/>
    <xf numFmtId="41" fontId="2" fillId="0" borderId="2" xfId="0" applyNumberFormat="1" applyFont="1" applyBorder="1"/>
    <xf numFmtId="2" fontId="2" fillId="0" borderId="2" xfId="0" applyNumberFormat="1" applyFont="1" applyBorder="1"/>
    <xf numFmtId="0" fontId="2" fillId="0" borderId="3" xfId="0" applyFont="1" applyBorder="1"/>
    <xf numFmtId="41" fontId="2" fillId="0" borderId="3" xfId="0" applyNumberFormat="1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41" fontId="2" fillId="0" borderId="5" xfId="0" applyNumberFormat="1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justify"/>
    </xf>
    <xf numFmtId="0" fontId="2" fillId="0" borderId="8" xfId="0" applyFont="1" applyBorder="1"/>
    <xf numFmtId="3" fontId="2" fillId="2" borderId="2" xfId="0" applyNumberFormat="1" applyFont="1" applyFill="1" applyBorder="1"/>
    <xf numFmtId="0" fontId="3" fillId="0" borderId="0" xfId="0" applyFont="1"/>
    <xf numFmtId="0" fontId="2" fillId="0" borderId="2" xfId="0" applyFont="1" applyFill="1" applyBorder="1"/>
    <xf numFmtId="0" fontId="1" fillId="0" borderId="0" xfId="0" applyFont="1" applyBorder="1" applyAlignment="1">
      <alignment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2" fillId="2" borderId="2" xfId="20" applyFont="1" applyFill="1" applyBorder="1">
      <alignment/>
      <protection/>
    </xf>
    <xf numFmtId="0" fontId="2" fillId="3" borderId="2" xfId="20" applyFont="1" applyFill="1" applyBorder="1">
      <alignment/>
      <protection/>
    </xf>
    <xf numFmtId="0" fontId="1" fillId="0" borderId="4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2" xfId="20" applyFont="1" applyFill="1" applyBorder="1">
      <alignment/>
      <protection/>
    </xf>
    <xf numFmtId="0" fontId="2" fillId="4" borderId="3" xfId="0" applyFont="1" applyFill="1" applyBorder="1"/>
    <xf numFmtId="0" fontId="2" fillId="4" borderId="5" xfId="0" applyFont="1" applyFill="1" applyBorder="1"/>
    <xf numFmtId="0" fontId="2" fillId="4" borderId="2" xfId="0" applyFont="1" applyFill="1" applyBorder="1"/>
    <xf numFmtId="164" fontId="2" fillId="0" borderId="0" xfId="0" applyNumberFormat="1" applyFont="1"/>
    <xf numFmtId="0" fontId="2" fillId="0" borderId="2" xfId="0" applyFont="1" applyBorder="1"/>
    <xf numFmtId="0" fontId="2" fillId="0" borderId="13" xfId="0" applyFont="1" applyBorder="1"/>
    <xf numFmtId="0" fontId="1" fillId="5" borderId="12" xfId="0" applyFont="1" applyFill="1" applyBorder="1" applyAlignment="1">
      <alignment wrapText="1"/>
    </xf>
    <xf numFmtId="0" fontId="2" fillId="5" borderId="0" xfId="0" applyFont="1" applyFill="1"/>
    <xf numFmtId="2" fontId="2" fillId="5" borderId="2" xfId="0" applyNumberFormat="1" applyFont="1" applyFill="1" applyBorder="1"/>
    <xf numFmtId="0" fontId="2" fillId="5" borderId="3" xfId="0" applyFont="1" applyFill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abSelected="1" zoomScale="110" zoomScaleNormal="110" workbookViewId="0" topLeftCell="A1">
      <pane xSplit="3510" topLeftCell="A1" activePane="topRight" state="split"/>
      <selection pane="topLeft" activeCell="AF6" sqref="AF6:AF25"/>
      <selection pane="topRight" activeCell="M31" sqref="M31"/>
    </sheetView>
  </sheetViews>
  <sheetFormatPr defaultColWidth="9.140625" defaultRowHeight="12.75"/>
  <cols>
    <col min="1" max="1" width="26.57421875" style="3" customWidth="1"/>
    <col min="2" max="5" width="7.8515625" style="3" customWidth="1"/>
    <col min="6" max="7" width="9.00390625" style="3" customWidth="1"/>
    <col min="8" max="11" width="7.8515625" style="3" customWidth="1"/>
    <col min="12" max="13" width="9.00390625" style="3" customWidth="1"/>
    <col min="14" max="15" width="9.00390625" style="3" hidden="1" customWidth="1"/>
    <col min="16" max="19" width="7.8515625" style="3" customWidth="1"/>
    <col min="20" max="21" width="9.00390625" style="3" customWidth="1"/>
    <col min="22" max="25" width="7.8515625" style="3" customWidth="1"/>
    <col min="26" max="27" width="9.00390625" style="3" customWidth="1"/>
    <col min="28" max="31" width="7.8515625" style="3" customWidth="1"/>
    <col min="32" max="33" width="9.00390625" style="3" customWidth="1"/>
    <col min="34" max="16384" width="9.140625" style="3" customWidth="1"/>
  </cols>
  <sheetData>
    <row r="1" ht="15.75">
      <c r="A1" s="19" t="s">
        <v>33</v>
      </c>
    </row>
    <row r="2" ht="16.5" thickBot="1">
      <c r="A2" s="19"/>
    </row>
    <row r="3" spans="2:33" ht="13.5" customHeight="1" thickBot="1">
      <c r="B3" s="22"/>
      <c r="C3" s="23"/>
      <c r="D3" s="44">
        <v>41522</v>
      </c>
      <c r="E3" s="44"/>
      <c r="F3" s="23"/>
      <c r="G3" s="24"/>
      <c r="H3" s="22"/>
      <c r="I3" s="23"/>
      <c r="J3" s="44">
        <v>41887</v>
      </c>
      <c r="K3" s="45"/>
      <c r="L3" s="23"/>
      <c r="M3" s="24"/>
      <c r="N3" s="23"/>
      <c r="O3" s="23"/>
      <c r="P3" s="22"/>
      <c r="Q3" s="23"/>
      <c r="R3" s="44">
        <v>41928</v>
      </c>
      <c r="S3" s="45"/>
      <c r="T3" s="23"/>
      <c r="U3" s="24"/>
      <c r="V3" s="22"/>
      <c r="W3" s="23"/>
      <c r="X3" s="44">
        <v>42005</v>
      </c>
      <c r="Y3" s="45"/>
      <c r="Z3" s="23"/>
      <c r="AA3" s="24"/>
      <c r="AB3" s="22"/>
      <c r="AC3" s="23"/>
      <c r="AD3" s="44">
        <v>42079</v>
      </c>
      <c r="AE3" s="45"/>
      <c r="AF3" s="23"/>
      <c r="AG3" s="24"/>
    </row>
    <row r="4" spans="1:33" s="21" customFormat="1" ht="53.25" customHeight="1" thickBot="1">
      <c r="A4" s="28" t="s">
        <v>27</v>
      </c>
      <c r="B4" s="25" t="s">
        <v>0</v>
      </c>
      <c r="C4" s="25" t="s">
        <v>1</v>
      </c>
      <c r="D4" s="29" t="s">
        <v>2</v>
      </c>
      <c r="E4" s="25" t="s">
        <v>3</v>
      </c>
      <c r="F4" s="25" t="s">
        <v>26</v>
      </c>
      <c r="G4" s="25" t="s">
        <v>25</v>
      </c>
      <c r="H4" s="25" t="s">
        <v>0</v>
      </c>
      <c r="I4" s="25" t="s">
        <v>1</v>
      </c>
      <c r="J4" s="29" t="s">
        <v>2</v>
      </c>
      <c r="K4" s="25" t="s">
        <v>3</v>
      </c>
      <c r="L4" s="25" t="s">
        <v>26</v>
      </c>
      <c r="M4" s="25" t="s">
        <v>25</v>
      </c>
      <c r="N4" s="38" t="s">
        <v>31</v>
      </c>
      <c r="O4" s="38" t="s">
        <v>30</v>
      </c>
      <c r="P4" s="25" t="s">
        <v>0</v>
      </c>
      <c r="Q4" s="25" t="s">
        <v>1</v>
      </c>
      <c r="R4" s="29" t="s">
        <v>2</v>
      </c>
      <c r="S4" s="25" t="s">
        <v>3</v>
      </c>
      <c r="T4" s="25" t="s">
        <v>26</v>
      </c>
      <c r="U4" s="25" t="s">
        <v>25</v>
      </c>
      <c r="V4" s="25" t="s">
        <v>0</v>
      </c>
      <c r="W4" s="25" t="s">
        <v>1</v>
      </c>
      <c r="X4" s="29" t="s">
        <v>2</v>
      </c>
      <c r="Y4" s="25" t="s">
        <v>3</v>
      </c>
      <c r="Z4" s="25" t="s">
        <v>26</v>
      </c>
      <c r="AA4" s="25" t="s">
        <v>25</v>
      </c>
      <c r="AB4" s="25" t="s">
        <v>0</v>
      </c>
      <c r="AC4" s="25" t="s">
        <v>1</v>
      </c>
      <c r="AD4" s="29" t="s">
        <v>2</v>
      </c>
      <c r="AE4" s="25" t="s">
        <v>3</v>
      </c>
      <c r="AF4" s="25" t="s">
        <v>26</v>
      </c>
      <c r="AG4" s="25" t="s">
        <v>25</v>
      </c>
    </row>
    <row r="5" spans="1:33" ht="12.75">
      <c r="A5" s="14"/>
      <c r="B5" s="1"/>
      <c r="C5" s="1"/>
      <c r="D5" s="30"/>
      <c r="E5" s="1"/>
      <c r="F5" s="1"/>
      <c r="H5" s="1"/>
      <c r="I5" s="1"/>
      <c r="J5" s="30"/>
      <c r="K5" s="1"/>
      <c r="L5" s="1"/>
      <c r="N5" s="39"/>
      <c r="O5" s="39"/>
      <c r="P5" s="1"/>
      <c r="Q5" s="1"/>
      <c r="R5" s="30"/>
      <c r="S5" s="1"/>
      <c r="T5" s="1"/>
      <c r="U5" s="37"/>
      <c r="V5" s="1"/>
      <c r="W5" s="1"/>
      <c r="X5" s="30"/>
      <c r="Y5" s="1"/>
      <c r="Z5" s="1"/>
      <c r="AA5" s="37"/>
      <c r="AB5" s="1"/>
      <c r="AC5" s="1"/>
      <c r="AD5" s="30"/>
      <c r="AE5" s="1"/>
      <c r="AF5" s="1"/>
      <c r="AG5" s="37"/>
    </row>
    <row r="6" spans="1:33" ht="12.75">
      <c r="A6" s="15" t="s">
        <v>4</v>
      </c>
      <c r="B6" s="26">
        <v>39</v>
      </c>
      <c r="C6" s="26">
        <v>0</v>
      </c>
      <c r="D6" s="31">
        <v>39</v>
      </c>
      <c r="E6" s="26">
        <v>78</v>
      </c>
      <c r="F6" s="5">
        <v>81</v>
      </c>
      <c r="G6" s="6">
        <f>E6/F6%</f>
        <v>96.29629629629629</v>
      </c>
      <c r="H6" s="4">
        <v>44</v>
      </c>
      <c r="I6" s="4">
        <v>5</v>
      </c>
      <c r="J6" s="34">
        <v>16</v>
      </c>
      <c r="K6" s="18">
        <f>SUM(H6:J6)</f>
        <v>65</v>
      </c>
      <c r="L6" s="5">
        <f>18+23+19+17</f>
        <v>77</v>
      </c>
      <c r="M6" s="6">
        <f>K6/L6%</f>
        <v>84.41558441558442</v>
      </c>
      <c r="N6" s="40">
        <f>-(B6-H6)/B6%</f>
        <v>12.82051282051282</v>
      </c>
      <c r="O6" s="40">
        <f aca="true" t="shared" si="0" ref="O6:O25">-(D6-J6)/D6%</f>
        <v>-58.97435897435897</v>
      </c>
      <c r="P6" s="4">
        <v>39</v>
      </c>
      <c r="Q6" s="4">
        <v>7</v>
      </c>
      <c r="R6" s="34">
        <v>17</v>
      </c>
      <c r="S6" s="18">
        <f>SUM(P6:R6)</f>
        <v>63</v>
      </c>
      <c r="T6" s="5">
        <f>18+22+19+17</f>
        <v>76</v>
      </c>
      <c r="U6" s="6">
        <f>S6/T6%</f>
        <v>82.89473684210526</v>
      </c>
      <c r="V6" s="4">
        <v>32</v>
      </c>
      <c r="W6" s="4">
        <v>10</v>
      </c>
      <c r="X6" s="34">
        <v>18</v>
      </c>
      <c r="Y6" s="18">
        <f>SUM(V6:X6)</f>
        <v>60</v>
      </c>
      <c r="Z6" s="5">
        <f>18+22+19+16</f>
        <v>75</v>
      </c>
      <c r="AA6" s="6">
        <f>Y6/Z6%</f>
        <v>80</v>
      </c>
      <c r="AB6" s="4">
        <v>32</v>
      </c>
      <c r="AC6" s="4">
        <v>10</v>
      </c>
      <c r="AD6" s="34">
        <v>17</v>
      </c>
      <c r="AE6" s="18">
        <f>SUM(AB6:AD6)</f>
        <v>59</v>
      </c>
      <c r="AF6" s="5">
        <f>18+22+19+15</f>
        <v>74</v>
      </c>
      <c r="AG6" s="6">
        <f>AE6/AF6%</f>
        <v>79.72972972972973</v>
      </c>
    </row>
    <row r="7" spans="1:33" ht="12.75">
      <c r="A7" s="15" t="s">
        <v>5</v>
      </c>
      <c r="B7" s="26">
        <v>36</v>
      </c>
      <c r="C7" s="26">
        <v>0</v>
      </c>
      <c r="D7" s="31">
        <v>47</v>
      </c>
      <c r="E7" s="26">
        <v>83</v>
      </c>
      <c r="F7" s="5">
        <v>83</v>
      </c>
      <c r="G7" s="6">
        <f aca="true" t="shared" si="1" ref="G7:G25">E7/F7%</f>
        <v>100</v>
      </c>
      <c r="H7" s="4">
        <v>54</v>
      </c>
      <c r="I7" s="4">
        <v>0</v>
      </c>
      <c r="J7" s="34">
        <v>39</v>
      </c>
      <c r="K7" s="18">
        <f aca="true" t="shared" si="2" ref="K7:K25">SUM(H7:J7)</f>
        <v>93</v>
      </c>
      <c r="L7" s="5">
        <f>35+32+12+24</f>
        <v>103</v>
      </c>
      <c r="M7" s="6">
        <f aca="true" t="shared" si="3" ref="M7:M27">K7/L7%</f>
        <v>90.29126213592232</v>
      </c>
      <c r="N7" s="40">
        <f aca="true" t="shared" si="4" ref="N7:N27">-(B7-H7)/B7%</f>
        <v>50</v>
      </c>
      <c r="O7" s="40">
        <f t="shared" si="0"/>
        <v>-17.02127659574468</v>
      </c>
      <c r="P7" s="4">
        <v>51</v>
      </c>
      <c r="Q7" s="4">
        <v>2</v>
      </c>
      <c r="R7" s="34">
        <v>33</v>
      </c>
      <c r="S7" s="18">
        <f aca="true" t="shared" si="5" ref="S7:S9">SUM(P7:R7)</f>
        <v>86</v>
      </c>
      <c r="T7" s="5">
        <f>36+33+12+24</f>
        <v>105</v>
      </c>
      <c r="U7" s="6">
        <f aca="true" t="shared" si="6" ref="U7:U25">S7/T7%</f>
        <v>81.9047619047619</v>
      </c>
      <c r="V7" s="4">
        <v>55</v>
      </c>
      <c r="W7" s="4">
        <v>2</v>
      </c>
      <c r="X7" s="34">
        <v>31</v>
      </c>
      <c r="Y7" s="18">
        <f aca="true" t="shared" si="7" ref="Y7:Y9">SUM(V7:X7)</f>
        <v>88</v>
      </c>
      <c r="Z7" s="5">
        <f>36+33+12+24</f>
        <v>105</v>
      </c>
      <c r="AA7" s="6">
        <f aca="true" t="shared" si="8" ref="AA7:AA25">Y7/Z7%</f>
        <v>83.80952380952381</v>
      </c>
      <c r="AB7" s="4">
        <v>50</v>
      </c>
      <c r="AC7" s="4">
        <v>2</v>
      </c>
      <c r="AD7" s="34">
        <v>34</v>
      </c>
      <c r="AE7" s="18">
        <f aca="true" t="shared" si="9" ref="AE7:AE9">SUM(AB7:AD7)</f>
        <v>86</v>
      </c>
      <c r="AF7" s="5">
        <f>36+33+13+23</f>
        <v>105</v>
      </c>
      <c r="AG7" s="6">
        <f aca="true" t="shared" si="10" ref="AG7:AG25">AE7/AF7%</f>
        <v>81.9047619047619</v>
      </c>
    </row>
    <row r="8" spans="1:33" ht="12.75">
      <c r="A8" s="15" t="s">
        <v>16</v>
      </c>
      <c r="B8" s="26">
        <v>24</v>
      </c>
      <c r="C8" s="26">
        <v>0</v>
      </c>
      <c r="D8" s="31">
        <v>15</v>
      </c>
      <c r="E8" s="26">
        <v>39</v>
      </c>
      <c r="F8" s="5">
        <v>58</v>
      </c>
      <c r="G8" s="6">
        <f t="shared" si="1"/>
        <v>67.24137931034483</v>
      </c>
      <c r="H8" s="4">
        <v>32</v>
      </c>
      <c r="I8" s="4">
        <v>0</v>
      </c>
      <c r="J8" s="34">
        <v>9</v>
      </c>
      <c r="K8" s="18">
        <f t="shared" si="2"/>
        <v>41</v>
      </c>
      <c r="L8" s="5">
        <f>24+10+17+20</f>
        <v>71</v>
      </c>
      <c r="M8" s="6">
        <f t="shared" si="3"/>
        <v>57.74647887323944</v>
      </c>
      <c r="N8" s="40">
        <f t="shared" si="4"/>
        <v>33.333333333333336</v>
      </c>
      <c r="O8" s="40">
        <f t="shared" si="0"/>
        <v>-40</v>
      </c>
      <c r="P8" s="4">
        <v>30</v>
      </c>
      <c r="Q8" s="4">
        <v>1</v>
      </c>
      <c r="R8" s="34">
        <v>10</v>
      </c>
      <c r="S8" s="18">
        <f t="shared" si="5"/>
        <v>41</v>
      </c>
      <c r="T8" s="5">
        <f>24+10+18+20</f>
        <v>72</v>
      </c>
      <c r="U8" s="6">
        <f t="shared" si="6"/>
        <v>56.94444444444445</v>
      </c>
      <c r="V8" s="4">
        <v>30</v>
      </c>
      <c r="W8" s="4">
        <v>1</v>
      </c>
      <c r="X8" s="34">
        <v>12</v>
      </c>
      <c r="Y8" s="18">
        <f t="shared" si="7"/>
        <v>43</v>
      </c>
      <c r="Z8" s="5">
        <f>24+9+18+20</f>
        <v>71</v>
      </c>
      <c r="AA8" s="6">
        <f t="shared" si="8"/>
        <v>60.563380281690144</v>
      </c>
      <c r="AB8" s="4">
        <v>28</v>
      </c>
      <c r="AC8" s="4">
        <v>1</v>
      </c>
      <c r="AD8" s="34">
        <v>12</v>
      </c>
      <c r="AE8" s="18">
        <f t="shared" si="9"/>
        <v>41</v>
      </c>
      <c r="AF8" s="5">
        <f>23+9+18+20</f>
        <v>70</v>
      </c>
      <c r="AG8" s="6">
        <f t="shared" si="10"/>
        <v>58.57142857142858</v>
      </c>
    </row>
    <row r="9" spans="1:33" ht="12.75">
      <c r="A9" s="15" t="s">
        <v>17</v>
      </c>
      <c r="B9" s="26">
        <v>19</v>
      </c>
      <c r="C9" s="26">
        <v>0</v>
      </c>
      <c r="D9" s="31">
        <v>27</v>
      </c>
      <c r="E9" s="26">
        <v>46</v>
      </c>
      <c r="F9" s="5">
        <v>54</v>
      </c>
      <c r="G9" s="6">
        <f t="shared" si="1"/>
        <v>85.18518518518518</v>
      </c>
      <c r="H9" s="4">
        <v>19</v>
      </c>
      <c r="I9" s="4">
        <v>2</v>
      </c>
      <c r="J9" s="34">
        <v>23</v>
      </c>
      <c r="K9" s="18">
        <f t="shared" si="2"/>
        <v>44</v>
      </c>
      <c r="L9" s="5">
        <f>13+5+14+20</f>
        <v>52</v>
      </c>
      <c r="M9" s="6">
        <f t="shared" si="3"/>
        <v>84.61538461538461</v>
      </c>
      <c r="N9" s="40">
        <f t="shared" si="4"/>
        <v>0</v>
      </c>
      <c r="O9" s="40">
        <f t="shared" si="0"/>
        <v>-14.814814814814813</v>
      </c>
      <c r="P9" s="4">
        <v>17</v>
      </c>
      <c r="Q9" s="4">
        <v>2</v>
      </c>
      <c r="R9" s="34">
        <v>25</v>
      </c>
      <c r="S9" s="18">
        <f t="shared" si="5"/>
        <v>44</v>
      </c>
      <c r="T9" s="5">
        <f>13+5+14+20</f>
        <v>52</v>
      </c>
      <c r="U9" s="6">
        <f t="shared" si="6"/>
        <v>84.61538461538461</v>
      </c>
      <c r="V9" s="4">
        <v>16</v>
      </c>
      <c r="W9" s="4">
        <v>2</v>
      </c>
      <c r="X9" s="34">
        <v>23</v>
      </c>
      <c r="Y9" s="18">
        <f t="shared" si="7"/>
        <v>41</v>
      </c>
      <c r="Z9" s="5">
        <f>13+6+15+17</f>
        <v>51</v>
      </c>
      <c r="AA9" s="6">
        <f t="shared" si="8"/>
        <v>80.3921568627451</v>
      </c>
      <c r="AB9" s="4">
        <v>17</v>
      </c>
      <c r="AC9" s="4">
        <v>2</v>
      </c>
      <c r="AD9" s="34">
        <v>22</v>
      </c>
      <c r="AE9" s="18">
        <f t="shared" si="9"/>
        <v>41</v>
      </c>
      <c r="AF9" s="5">
        <f>13+6+15+17</f>
        <v>51</v>
      </c>
      <c r="AG9" s="6">
        <f t="shared" si="10"/>
        <v>80.3921568627451</v>
      </c>
    </row>
    <row r="10" spans="1:33" ht="12.75">
      <c r="A10" s="15" t="s">
        <v>15</v>
      </c>
      <c r="B10" s="26">
        <v>109</v>
      </c>
      <c r="C10" s="26">
        <v>2</v>
      </c>
      <c r="D10" s="31">
        <v>95</v>
      </c>
      <c r="E10" s="26">
        <v>206</v>
      </c>
      <c r="F10" s="5">
        <v>207</v>
      </c>
      <c r="G10" s="6">
        <f>E10/F10%</f>
        <v>99.5169082125604</v>
      </c>
      <c r="H10" s="4">
        <v>110</v>
      </c>
      <c r="I10" s="4">
        <v>0</v>
      </c>
      <c r="J10" s="34">
        <v>98</v>
      </c>
      <c r="K10" s="18">
        <f>SUM(H10:J10)</f>
        <v>208</v>
      </c>
      <c r="L10" s="5">
        <f>50+48+56+60</f>
        <v>214</v>
      </c>
      <c r="M10" s="6">
        <f t="shared" si="3"/>
        <v>97.19626168224299</v>
      </c>
      <c r="N10" s="40">
        <f t="shared" si="4"/>
        <v>0.9174311926605504</v>
      </c>
      <c r="O10" s="40">
        <f t="shared" si="0"/>
        <v>3.1578947368421053</v>
      </c>
      <c r="P10" s="4">
        <v>105</v>
      </c>
      <c r="Q10" s="4">
        <v>0</v>
      </c>
      <c r="R10" s="34">
        <v>101</v>
      </c>
      <c r="S10" s="18">
        <f>SUM(P10:R10)</f>
        <v>206</v>
      </c>
      <c r="T10" s="5">
        <f>50+48+55+60</f>
        <v>213</v>
      </c>
      <c r="U10" s="6">
        <f t="shared" si="6"/>
        <v>96.71361502347418</v>
      </c>
      <c r="V10" s="4">
        <v>102</v>
      </c>
      <c r="W10" s="4">
        <v>0</v>
      </c>
      <c r="X10" s="34">
        <v>100</v>
      </c>
      <c r="Y10" s="18">
        <f>SUM(V10:X10)</f>
        <v>202</v>
      </c>
      <c r="Z10" s="5">
        <f>50+46+53+60</f>
        <v>209</v>
      </c>
      <c r="AA10" s="6">
        <f t="shared" si="8"/>
        <v>96.65071770334929</v>
      </c>
      <c r="AB10" s="4">
        <v>100</v>
      </c>
      <c r="AC10" s="4">
        <v>0</v>
      </c>
      <c r="AD10" s="34">
        <v>102</v>
      </c>
      <c r="AE10" s="18">
        <f>SUM(AB10:AD10)</f>
        <v>202</v>
      </c>
      <c r="AF10" s="5">
        <f>50+47+53+60</f>
        <v>210</v>
      </c>
      <c r="AG10" s="6">
        <f t="shared" si="10"/>
        <v>96.19047619047619</v>
      </c>
    </row>
    <row r="11" spans="1:33" ht="12.75">
      <c r="A11" s="15" t="s">
        <v>6</v>
      </c>
      <c r="B11" s="26">
        <v>174</v>
      </c>
      <c r="C11" s="26">
        <v>0</v>
      </c>
      <c r="D11" s="31">
        <v>107</v>
      </c>
      <c r="E11" s="26">
        <v>281</v>
      </c>
      <c r="F11" s="5">
        <v>288</v>
      </c>
      <c r="G11" s="6">
        <f t="shared" si="1"/>
        <v>97.56944444444444</v>
      </c>
      <c r="H11" s="4">
        <v>98</v>
      </c>
      <c r="I11" s="4">
        <v>0</v>
      </c>
      <c r="J11" s="34">
        <v>157</v>
      </c>
      <c r="K11" s="18">
        <f t="shared" si="2"/>
        <v>255</v>
      </c>
      <c r="L11" s="5">
        <f>56+73+70+71</f>
        <v>270</v>
      </c>
      <c r="M11" s="6">
        <f t="shared" si="3"/>
        <v>94.44444444444444</v>
      </c>
      <c r="N11" s="40">
        <f t="shared" si="4"/>
        <v>-43.67816091954023</v>
      </c>
      <c r="O11" s="40">
        <f t="shared" si="0"/>
        <v>46.72897196261682</v>
      </c>
      <c r="P11" s="4">
        <v>86</v>
      </c>
      <c r="Q11" s="4">
        <v>0</v>
      </c>
      <c r="R11" s="34">
        <v>160</v>
      </c>
      <c r="S11" s="18">
        <f aca="true" t="shared" si="11" ref="S11:S25">SUM(P11:R11)</f>
        <v>246</v>
      </c>
      <c r="T11" s="5">
        <f>56+73+70+70</f>
        <v>269</v>
      </c>
      <c r="U11" s="6">
        <f t="shared" si="6"/>
        <v>91.44981412639406</v>
      </c>
      <c r="V11" s="4">
        <v>86</v>
      </c>
      <c r="W11" s="4">
        <v>0</v>
      </c>
      <c r="X11" s="34">
        <v>156</v>
      </c>
      <c r="Y11" s="18">
        <f aca="true" t="shared" si="12" ref="Y11:Y25">SUM(V11:X11)</f>
        <v>242</v>
      </c>
      <c r="Z11" s="5">
        <f>57+72+70+73</f>
        <v>272</v>
      </c>
      <c r="AA11" s="6">
        <f t="shared" si="8"/>
        <v>88.97058823529412</v>
      </c>
      <c r="AB11" s="4">
        <v>87</v>
      </c>
      <c r="AC11" s="4">
        <v>1</v>
      </c>
      <c r="AD11" s="34">
        <v>156</v>
      </c>
      <c r="AE11" s="18">
        <f>SUM(AB11:AD11)</f>
        <v>244</v>
      </c>
      <c r="AF11" s="5">
        <f>57+71+69+73</f>
        <v>270</v>
      </c>
      <c r="AG11" s="6">
        <f t="shared" si="10"/>
        <v>90.37037037037037</v>
      </c>
    </row>
    <row r="12" spans="1:33" ht="12.75">
      <c r="A12" s="15" t="s">
        <v>18</v>
      </c>
      <c r="B12" s="26">
        <v>28</v>
      </c>
      <c r="C12" s="26">
        <v>0</v>
      </c>
      <c r="D12" s="31">
        <v>19</v>
      </c>
      <c r="E12" s="26">
        <v>47</v>
      </c>
      <c r="F12" s="5">
        <v>52</v>
      </c>
      <c r="G12" s="6">
        <f t="shared" si="1"/>
        <v>90.38461538461539</v>
      </c>
      <c r="H12" s="4">
        <v>26</v>
      </c>
      <c r="I12" s="4">
        <v>1</v>
      </c>
      <c r="J12" s="34">
        <v>16</v>
      </c>
      <c r="K12" s="18">
        <f t="shared" si="2"/>
        <v>43</v>
      </c>
      <c r="L12" s="5">
        <f>14+16+12+11</f>
        <v>53</v>
      </c>
      <c r="M12" s="6">
        <f t="shared" si="3"/>
        <v>81.13207547169812</v>
      </c>
      <c r="N12" s="40">
        <f t="shared" si="4"/>
        <v>-7.142857142857142</v>
      </c>
      <c r="O12" s="40">
        <f t="shared" si="0"/>
        <v>-15.789473684210526</v>
      </c>
      <c r="P12" s="4">
        <v>26</v>
      </c>
      <c r="Q12" s="4">
        <v>0</v>
      </c>
      <c r="R12" s="34">
        <v>14</v>
      </c>
      <c r="S12" s="18">
        <f t="shared" si="11"/>
        <v>40</v>
      </c>
      <c r="T12" s="5">
        <f>14+16+12+11</f>
        <v>53</v>
      </c>
      <c r="U12" s="6">
        <f t="shared" si="6"/>
        <v>75.47169811320754</v>
      </c>
      <c r="V12" s="4">
        <v>21</v>
      </c>
      <c r="W12" s="4">
        <v>5</v>
      </c>
      <c r="X12" s="34">
        <v>14</v>
      </c>
      <c r="Y12" s="18">
        <f t="shared" si="12"/>
        <v>40</v>
      </c>
      <c r="Z12" s="5">
        <f>15+16+12+10</f>
        <v>53</v>
      </c>
      <c r="AA12" s="6">
        <f t="shared" si="8"/>
        <v>75.47169811320754</v>
      </c>
      <c r="AB12" s="4">
        <v>21</v>
      </c>
      <c r="AC12" s="4">
        <v>5</v>
      </c>
      <c r="AD12" s="34">
        <v>14</v>
      </c>
      <c r="AE12" s="18">
        <f aca="true" t="shared" si="13" ref="AE12:AE25">SUM(AB12:AD12)</f>
        <v>40</v>
      </c>
      <c r="AF12" s="5">
        <f>15+16+12+12</f>
        <v>55</v>
      </c>
      <c r="AG12" s="6">
        <f t="shared" si="10"/>
        <v>72.72727272727272</v>
      </c>
    </row>
    <row r="13" spans="1:33" ht="12.75">
      <c r="A13" s="16" t="s">
        <v>19</v>
      </c>
      <c r="B13" s="26">
        <v>35</v>
      </c>
      <c r="C13" s="26">
        <v>1</v>
      </c>
      <c r="D13" s="31">
        <v>26</v>
      </c>
      <c r="E13" s="26">
        <v>62</v>
      </c>
      <c r="F13" s="5">
        <v>68</v>
      </c>
      <c r="G13" s="6">
        <f t="shared" si="1"/>
        <v>91.17647058823529</v>
      </c>
      <c r="H13" s="4">
        <v>31</v>
      </c>
      <c r="I13" s="4">
        <v>4</v>
      </c>
      <c r="J13" s="34">
        <v>16</v>
      </c>
      <c r="K13" s="18">
        <f t="shared" si="2"/>
        <v>51</v>
      </c>
      <c r="L13" s="5">
        <f>19+18+19+11</f>
        <v>67</v>
      </c>
      <c r="M13" s="6">
        <f t="shared" si="3"/>
        <v>76.11940298507463</v>
      </c>
      <c r="N13" s="40">
        <f t="shared" si="4"/>
        <v>-11.428571428571429</v>
      </c>
      <c r="O13" s="40">
        <f t="shared" si="0"/>
        <v>-38.46153846153846</v>
      </c>
      <c r="P13" s="4">
        <v>30</v>
      </c>
      <c r="Q13" s="4">
        <v>5</v>
      </c>
      <c r="R13" s="34">
        <v>15</v>
      </c>
      <c r="S13" s="18">
        <f t="shared" si="11"/>
        <v>50</v>
      </c>
      <c r="T13" s="5">
        <f>19+18+19+11</f>
        <v>67</v>
      </c>
      <c r="U13" s="6">
        <f t="shared" si="6"/>
        <v>74.62686567164178</v>
      </c>
      <c r="V13" s="4">
        <v>29</v>
      </c>
      <c r="W13" s="4">
        <v>4</v>
      </c>
      <c r="X13" s="34">
        <v>11</v>
      </c>
      <c r="Y13" s="18">
        <f t="shared" si="12"/>
        <v>44</v>
      </c>
      <c r="Z13" s="5">
        <f>19+17+19+11</f>
        <v>66</v>
      </c>
      <c r="AA13" s="6">
        <f t="shared" si="8"/>
        <v>66.66666666666666</v>
      </c>
      <c r="AB13" s="4">
        <v>27</v>
      </c>
      <c r="AC13" s="4">
        <v>5</v>
      </c>
      <c r="AD13" s="34">
        <v>10</v>
      </c>
      <c r="AE13" s="18">
        <f t="shared" si="13"/>
        <v>42</v>
      </c>
      <c r="AF13" s="5">
        <f>19+16+19+11</f>
        <v>65</v>
      </c>
      <c r="AG13" s="6">
        <f t="shared" si="10"/>
        <v>64.61538461538461</v>
      </c>
    </row>
    <row r="14" spans="1:33" ht="12.75">
      <c r="A14" s="15" t="s">
        <v>20</v>
      </c>
      <c r="B14" s="26">
        <v>11</v>
      </c>
      <c r="C14" s="26">
        <v>0</v>
      </c>
      <c r="D14" s="31">
        <v>30</v>
      </c>
      <c r="E14" s="26">
        <v>41</v>
      </c>
      <c r="F14" s="5">
        <v>63</v>
      </c>
      <c r="G14" s="6">
        <f t="shared" si="1"/>
        <v>65.07936507936508</v>
      </c>
      <c r="H14" s="4">
        <v>15</v>
      </c>
      <c r="I14" s="4">
        <v>0</v>
      </c>
      <c r="J14" s="34">
        <v>22</v>
      </c>
      <c r="K14" s="18">
        <f t="shared" si="2"/>
        <v>37</v>
      </c>
      <c r="L14" s="5">
        <f>11+11+13+20</f>
        <v>55</v>
      </c>
      <c r="M14" s="6">
        <f t="shared" si="3"/>
        <v>67.27272727272727</v>
      </c>
      <c r="N14" s="40">
        <f t="shared" si="4"/>
        <v>36.36363636363637</v>
      </c>
      <c r="O14" s="40">
        <f t="shared" si="0"/>
        <v>-26.666666666666668</v>
      </c>
      <c r="P14" s="4">
        <v>15</v>
      </c>
      <c r="Q14" s="4">
        <v>0</v>
      </c>
      <c r="R14" s="34">
        <v>22</v>
      </c>
      <c r="S14" s="18">
        <f t="shared" si="11"/>
        <v>37</v>
      </c>
      <c r="T14" s="5">
        <f>11+11+13+20</f>
        <v>55</v>
      </c>
      <c r="U14" s="6">
        <f t="shared" si="6"/>
        <v>67.27272727272727</v>
      </c>
      <c r="V14" s="4">
        <v>15</v>
      </c>
      <c r="W14" s="4">
        <v>0</v>
      </c>
      <c r="X14" s="34">
        <v>25</v>
      </c>
      <c r="Y14" s="18">
        <f t="shared" si="12"/>
        <v>40</v>
      </c>
      <c r="Z14" s="5">
        <f>11+11+13+20</f>
        <v>55</v>
      </c>
      <c r="AA14" s="6">
        <f t="shared" si="8"/>
        <v>72.72727272727272</v>
      </c>
      <c r="AB14" s="4">
        <v>14</v>
      </c>
      <c r="AC14" s="4">
        <v>0</v>
      </c>
      <c r="AD14" s="34">
        <v>25</v>
      </c>
      <c r="AE14" s="18">
        <f t="shared" si="13"/>
        <v>39</v>
      </c>
      <c r="AF14" s="5">
        <f>11+11+13+20</f>
        <v>55</v>
      </c>
      <c r="AG14" s="6">
        <f t="shared" si="10"/>
        <v>70.9090909090909</v>
      </c>
    </row>
    <row r="15" spans="1:33" ht="12.75">
      <c r="A15" s="15" t="s">
        <v>21</v>
      </c>
      <c r="B15" s="26">
        <v>92</v>
      </c>
      <c r="C15" s="26">
        <v>0</v>
      </c>
      <c r="D15" s="31">
        <v>95</v>
      </c>
      <c r="E15" s="26">
        <v>187</v>
      </c>
      <c r="F15" s="5">
        <v>195</v>
      </c>
      <c r="G15" s="6">
        <f t="shared" si="1"/>
        <v>95.8974358974359</v>
      </c>
      <c r="H15" s="4">
        <v>83</v>
      </c>
      <c r="I15" s="4">
        <v>1</v>
      </c>
      <c r="J15" s="34">
        <v>92</v>
      </c>
      <c r="K15" s="18">
        <f t="shared" si="2"/>
        <v>176</v>
      </c>
      <c r="L15" s="5">
        <f>42+55+48+44</f>
        <v>189</v>
      </c>
      <c r="M15" s="6">
        <f t="shared" si="3"/>
        <v>93.12169312169313</v>
      </c>
      <c r="N15" s="40">
        <f t="shared" si="4"/>
        <v>-9.782608695652174</v>
      </c>
      <c r="O15" s="40">
        <f t="shared" si="0"/>
        <v>-3.1578947368421053</v>
      </c>
      <c r="P15" s="4">
        <v>82</v>
      </c>
      <c r="Q15" s="4">
        <v>1</v>
      </c>
      <c r="R15" s="34">
        <v>90</v>
      </c>
      <c r="S15" s="18">
        <f t="shared" si="11"/>
        <v>173</v>
      </c>
      <c r="T15" s="5">
        <f>42+55+48+44</f>
        <v>189</v>
      </c>
      <c r="U15" s="6">
        <f t="shared" si="6"/>
        <v>91.53439153439155</v>
      </c>
      <c r="V15" s="4">
        <v>80</v>
      </c>
      <c r="W15" s="4">
        <v>1</v>
      </c>
      <c r="X15" s="34">
        <v>83</v>
      </c>
      <c r="Y15" s="18">
        <f t="shared" si="12"/>
        <v>164</v>
      </c>
      <c r="Z15" s="5">
        <f>42+54+48+44</f>
        <v>188</v>
      </c>
      <c r="AA15" s="6">
        <f t="shared" si="8"/>
        <v>87.2340425531915</v>
      </c>
      <c r="AB15" s="4">
        <v>74</v>
      </c>
      <c r="AC15" s="4">
        <v>1</v>
      </c>
      <c r="AD15" s="34">
        <v>89</v>
      </c>
      <c r="AE15" s="18">
        <f t="shared" si="13"/>
        <v>164</v>
      </c>
      <c r="AF15" s="5">
        <f>40+54+48+44</f>
        <v>186</v>
      </c>
      <c r="AG15" s="6">
        <f t="shared" si="10"/>
        <v>88.17204301075269</v>
      </c>
    </row>
    <row r="16" spans="1:33" ht="12.75">
      <c r="A16" s="15" t="s">
        <v>7</v>
      </c>
      <c r="B16" s="26">
        <v>34</v>
      </c>
      <c r="C16" s="26">
        <v>0</v>
      </c>
      <c r="D16" s="31">
        <v>24</v>
      </c>
      <c r="E16" s="26">
        <v>58</v>
      </c>
      <c r="F16" s="5">
        <v>74</v>
      </c>
      <c r="G16" s="6">
        <f t="shared" si="1"/>
        <v>78.37837837837839</v>
      </c>
      <c r="H16" s="4">
        <v>28</v>
      </c>
      <c r="I16" s="4">
        <v>1</v>
      </c>
      <c r="J16" s="34">
        <v>15</v>
      </c>
      <c r="K16" s="18">
        <f t="shared" si="2"/>
        <v>44</v>
      </c>
      <c r="L16" s="5">
        <f>21+17+22+18</f>
        <v>78</v>
      </c>
      <c r="M16" s="6">
        <f t="shared" si="3"/>
        <v>56.41025641025641</v>
      </c>
      <c r="N16" s="40">
        <f t="shared" si="4"/>
        <v>-17.64705882352941</v>
      </c>
      <c r="O16" s="40">
        <f t="shared" si="0"/>
        <v>-37.5</v>
      </c>
      <c r="P16" s="4">
        <v>26</v>
      </c>
      <c r="Q16" s="4">
        <v>3</v>
      </c>
      <c r="R16" s="34">
        <v>12</v>
      </c>
      <c r="S16" s="18">
        <f t="shared" si="11"/>
        <v>41</v>
      </c>
      <c r="T16" s="5">
        <f>21+16+21+17</f>
        <v>75</v>
      </c>
      <c r="U16" s="6">
        <f t="shared" si="6"/>
        <v>54.666666666666664</v>
      </c>
      <c r="V16" s="4">
        <v>25</v>
      </c>
      <c r="W16" s="4">
        <v>4</v>
      </c>
      <c r="X16" s="34">
        <v>10</v>
      </c>
      <c r="Y16" s="18">
        <f t="shared" si="12"/>
        <v>39</v>
      </c>
      <c r="Z16" s="5">
        <f>21+16+21+17</f>
        <v>75</v>
      </c>
      <c r="AA16" s="6">
        <f t="shared" si="8"/>
        <v>52</v>
      </c>
      <c r="AB16" s="4">
        <v>26</v>
      </c>
      <c r="AC16" s="4">
        <v>3</v>
      </c>
      <c r="AD16" s="34">
        <v>9</v>
      </c>
      <c r="AE16" s="18">
        <f t="shared" si="13"/>
        <v>38</v>
      </c>
      <c r="AF16" s="5">
        <f>21+16+21+17</f>
        <v>75</v>
      </c>
      <c r="AG16" s="6">
        <f t="shared" si="10"/>
        <v>50.666666666666664</v>
      </c>
    </row>
    <row r="17" spans="1:33" ht="12.75">
      <c r="A17" s="15" t="s">
        <v>8</v>
      </c>
      <c r="B17" s="26">
        <v>39</v>
      </c>
      <c r="C17" s="26">
        <v>1</v>
      </c>
      <c r="D17" s="31">
        <v>25</v>
      </c>
      <c r="E17" s="26">
        <v>65</v>
      </c>
      <c r="F17" s="5">
        <v>82</v>
      </c>
      <c r="G17" s="6">
        <f t="shared" si="1"/>
        <v>79.26829268292684</v>
      </c>
      <c r="H17" s="4">
        <v>30</v>
      </c>
      <c r="I17" s="4">
        <v>9</v>
      </c>
      <c r="J17" s="34">
        <v>17</v>
      </c>
      <c r="K17" s="18">
        <f t="shared" si="2"/>
        <v>56</v>
      </c>
      <c r="L17" s="5">
        <f>20+18+24+21</f>
        <v>83</v>
      </c>
      <c r="M17" s="6">
        <f t="shared" si="3"/>
        <v>67.46987951807229</v>
      </c>
      <c r="N17" s="40">
        <f t="shared" si="4"/>
        <v>-23.076923076923077</v>
      </c>
      <c r="O17" s="40">
        <f t="shared" si="0"/>
        <v>-32</v>
      </c>
      <c r="P17" s="4">
        <v>25</v>
      </c>
      <c r="Q17" s="4">
        <v>11</v>
      </c>
      <c r="R17" s="34">
        <v>14</v>
      </c>
      <c r="S17" s="18">
        <f t="shared" si="11"/>
        <v>50</v>
      </c>
      <c r="T17" s="5">
        <f>20+18+24+21</f>
        <v>83</v>
      </c>
      <c r="U17" s="6">
        <f t="shared" si="6"/>
        <v>60.24096385542169</v>
      </c>
      <c r="V17" s="4">
        <v>25</v>
      </c>
      <c r="W17" s="4">
        <v>12</v>
      </c>
      <c r="X17" s="34">
        <v>12</v>
      </c>
      <c r="Y17" s="18">
        <f t="shared" si="12"/>
        <v>49</v>
      </c>
      <c r="Z17" s="5">
        <f>20+19+24+21</f>
        <v>84</v>
      </c>
      <c r="AA17" s="6">
        <f t="shared" si="8"/>
        <v>58.333333333333336</v>
      </c>
      <c r="AB17" s="4">
        <v>23</v>
      </c>
      <c r="AC17" s="4">
        <v>17</v>
      </c>
      <c r="AD17" s="34">
        <v>13</v>
      </c>
      <c r="AE17" s="18">
        <f t="shared" si="13"/>
        <v>53</v>
      </c>
      <c r="AF17" s="5">
        <f>21+19+25+22</f>
        <v>87</v>
      </c>
      <c r="AG17" s="6">
        <f t="shared" si="10"/>
        <v>60.91954022988506</v>
      </c>
    </row>
    <row r="18" spans="1:33" ht="12.75">
      <c r="A18" s="15" t="s">
        <v>9</v>
      </c>
      <c r="B18" s="26">
        <v>26</v>
      </c>
      <c r="C18" s="26">
        <v>0</v>
      </c>
      <c r="D18" s="31">
        <v>59</v>
      </c>
      <c r="E18" s="26">
        <v>85</v>
      </c>
      <c r="F18" s="5">
        <v>93</v>
      </c>
      <c r="G18" s="6">
        <f t="shared" si="1"/>
        <v>91.39784946236558</v>
      </c>
      <c r="H18" s="4">
        <v>33</v>
      </c>
      <c r="I18" s="4">
        <v>0</v>
      </c>
      <c r="J18" s="34">
        <v>32</v>
      </c>
      <c r="K18" s="18">
        <f t="shared" si="2"/>
        <v>65</v>
      </c>
      <c r="L18" s="5">
        <f>32+21+27+20</f>
        <v>100</v>
      </c>
      <c r="M18" s="6">
        <f t="shared" si="3"/>
        <v>65</v>
      </c>
      <c r="N18" s="40">
        <f t="shared" si="4"/>
        <v>26.923076923076923</v>
      </c>
      <c r="O18" s="40">
        <f t="shared" si="0"/>
        <v>-45.76271186440678</v>
      </c>
      <c r="P18" s="4">
        <v>27</v>
      </c>
      <c r="Q18" s="4">
        <v>0</v>
      </c>
      <c r="R18" s="34">
        <v>35</v>
      </c>
      <c r="S18" s="18">
        <f t="shared" si="11"/>
        <v>62</v>
      </c>
      <c r="T18" s="5">
        <f>32+21+27+20</f>
        <v>100</v>
      </c>
      <c r="U18" s="6">
        <f t="shared" si="6"/>
        <v>62</v>
      </c>
      <c r="V18" s="4">
        <v>28</v>
      </c>
      <c r="W18" s="4">
        <v>0</v>
      </c>
      <c r="X18" s="34">
        <v>34</v>
      </c>
      <c r="Y18" s="18">
        <f t="shared" si="12"/>
        <v>62</v>
      </c>
      <c r="Z18" s="5">
        <f>32+21+26+21</f>
        <v>100</v>
      </c>
      <c r="AA18" s="6">
        <f t="shared" si="8"/>
        <v>62</v>
      </c>
      <c r="AB18" s="4">
        <v>26</v>
      </c>
      <c r="AC18" s="4">
        <v>3</v>
      </c>
      <c r="AD18" s="34">
        <v>34</v>
      </c>
      <c r="AE18" s="18">
        <f t="shared" si="13"/>
        <v>63</v>
      </c>
      <c r="AF18" s="5">
        <f>33+21+26+21</f>
        <v>101</v>
      </c>
      <c r="AG18" s="6">
        <f t="shared" si="10"/>
        <v>62.37623762376238</v>
      </c>
    </row>
    <row r="19" spans="1:33" ht="12.75">
      <c r="A19" s="15" t="s">
        <v>22</v>
      </c>
      <c r="B19" s="26">
        <v>38</v>
      </c>
      <c r="C19" s="27">
        <v>2</v>
      </c>
      <c r="D19" s="31">
        <v>30</v>
      </c>
      <c r="E19" s="27">
        <v>70</v>
      </c>
      <c r="F19" s="5">
        <v>87</v>
      </c>
      <c r="G19" s="6">
        <f t="shared" si="1"/>
        <v>80.45977011494253</v>
      </c>
      <c r="H19" s="4">
        <v>28</v>
      </c>
      <c r="I19" s="4">
        <v>6</v>
      </c>
      <c r="J19" s="34">
        <v>18</v>
      </c>
      <c r="K19" s="18">
        <f t="shared" si="2"/>
        <v>52</v>
      </c>
      <c r="L19" s="5">
        <f>21+14+27+18</f>
        <v>80</v>
      </c>
      <c r="M19" s="6">
        <f t="shared" si="3"/>
        <v>65</v>
      </c>
      <c r="N19" s="40">
        <f t="shared" si="4"/>
        <v>-26.31578947368421</v>
      </c>
      <c r="O19" s="40">
        <f t="shared" si="0"/>
        <v>-40</v>
      </c>
      <c r="P19" s="4">
        <v>24</v>
      </c>
      <c r="Q19" s="4">
        <v>8</v>
      </c>
      <c r="R19" s="34">
        <v>13</v>
      </c>
      <c r="S19" s="18">
        <f t="shared" si="11"/>
        <v>45</v>
      </c>
      <c r="T19" s="5">
        <f>21+14+27+18</f>
        <v>80</v>
      </c>
      <c r="U19" s="6">
        <f t="shared" si="6"/>
        <v>56.25</v>
      </c>
      <c r="V19" s="4">
        <v>25</v>
      </c>
      <c r="W19" s="4">
        <v>8</v>
      </c>
      <c r="X19" s="34">
        <v>12</v>
      </c>
      <c r="Y19" s="18">
        <f t="shared" si="12"/>
        <v>45</v>
      </c>
      <c r="Z19" s="5">
        <f>21+14+27+18</f>
        <v>80</v>
      </c>
      <c r="AA19" s="6">
        <f t="shared" si="8"/>
        <v>56.25</v>
      </c>
      <c r="AB19" s="4">
        <v>22</v>
      </c>
      <c r="AC19" s="4">
        <v>9</v>
      </c>
      <c r="AD19" s="34">
        <v>13</v>
      </c>
      <c r="AE19" s="18">
        <f t="shared" si="13"/>
        <v>44</v>
      </c>
      <c r="AF19" s="5">
        <f>21+14+27+19</f>
        <v>81</v>
      </c>
      <c r="AG19" s="6">
        <f t="shared" si="10"/>
        <v>54.32098765432099</v>
      </c>
    </row>
    <row r="20" spans="1:33" ht="12.75">
      <c r="A20" s="15" t="s">
        <v>23</v>
      </c>
      <c r="B20" s="26">
        <v>55</v>
      </c>
      <c r="C20" s="26">
        <v>0</v>
      </c>
      <c r="D20" s="31">
        <v>61</v>
      </c>
      <c r="E20" s="26">
        <v>116</v>
      </c>
      <c r="F20" s="5">
        <v>124</v>
      </c>
      <c r="G20" s="6">
        <f t="shared" si="1"/>
        <v>93.54838709677419</v>
      </c>
      <c r="H20" s="4">
        <v>69</v>
      </c>
      <c r="I20" s="4">
        <v>0</v>
      </c>
      <c r="J20" s="34">
        <v>61</v>
      </c>
      <c r="K20" s="18">
        <f t="shared" si="2"/>
        <v>130</v>
      </c>
      <c r="L20" s="5">
        <f>41+42+32+26</f>
        <v>141</v>
      </c>
      <c r="M20" s="6">
        <f t="shared" si="3"/>
        <v>92.1985815602837</v>
      </c>
      <c r="N20" s="40">
        <f t="shared" si="4"/>
        <v>25.454545454545453</v>
      </c>
      <c r="O20" s="40">
        <f t="shared" si="0"/>
        <v>0</v>
      </c>
      <c r="P20" s="4">
        <v>67</v>
      </c>
      <c r="Q20" s="4">
        <v>0</v>
      </c>
      <c r="R20" s="34">
        <v>63</v>
      </c>
      <c r="S20" s="18">
        <f t="shared" si="11"/>
        <v>130</v>
      </c>
      <c r="T20" s="5">
        <f>41+42+33+26</f>
        <v>142</v>
      </c>
      <c r="U20" s="6">
        <f t="shared" si="6"/>
        <v>91.54929577464789</v>
      </c>
      <c r="V20" s="4">
        <v>65</v>
      </c>
      <c r="W20" s="4">
        <v>0</v>
      </c>
      <c r="X20" s="34">
        <v>61</v>
      </c>
      <c r="Y20" s="18">
        <f t="shared" si="12"/>
        <v>126</v>
      </c>
      <c r="Z20" s="5">
        <f>41+42+32+26</f>
        <v>141</v>
      </c>
      <c r="AA20" s="6">
        <f t="shared" si="8"/>
        <v>89.36170212765958</v>
      </c>
      <c r="AB20" s="4">
        <v>64</v>
      </c>
      <c r="AC20" s="4">
        <v>1</v>
      </c>
      <c r="AD20" s="34">
        <v>57</v>
      </c>
      <c r="AE20" s="18">
        <f t="shared" si="13"/>
        <v>122</v>
      </c>
      <c r="AF20" s="5">
        <f>41+42+31+25</f>
        <v>139</v>
      </c>
      <c r="AG20" s="6">
        <f t="shared" si="10"/>
        <v>87.76978417266187</v>
      </c>
    </row>
    <row r="21" spans="1:33" ht="12.75">
      <c r="A21" s="15" t="s">
        <v>10</v>
      </c>
      <c r="B21" s="26">
        <v>38</v>
      </c>
      <c r="C21" s="26">
        <v>0</v>
      </c>
      <c r="D21" s="31">
        <v>35</v>
      </c>
      <c r="E21" s="26">
        <v>73</v>
      </c>
      <c r="F21" s="5">
        <v>81</v>
      </c>
      <c r="G21" s="6">
        <f t="shared" si="1"/>
        <v>90.12345679012346</v>
      </c>
      <c r="H21" s="4">
        <f>24+3</f>
        <v>27</v>
      </c>
      <c r="I21" s="4">
        <v>1</v>
      </c>
      <c r="J21" s="34">
        <v>24</v>
      </c>
      <c r="K21" s="18">
        <f t="shared" si="2"/>
        <v>52</v>
      </c>
      <c r="L21" s="5">
        <f>6+19+19+20</f>
        <v>64</v>
      </c>
      <c r="M21" s="6">
        <f t="shared" si="3"/>
        <v>81.25</v>
      </c>
      <c r="N21" s="40">
        <f t="shared" si="4"/>
        <v>-28.94736842105263</v>
      </c>
      <c r="O21" s="40">
        <f t="shared" si="0"/>
        <v>-31.42857142857143</v>
      </c>
      <c r="P21" s="4">
        <v>20</v>
      </c>
      <c r="Q21" s="4">
        <v>3</v>
      </c>
      <c r="R21" s="34">
        <v>22</v>
      </c>
      <c r="S21" s="18">
        <f t="shared" si="11"/>
        <v>45</v>
      </c>
      <c r="T21" s="5">
        <f>6+19+19+20</f>
        <v>64</v>
      </c>
      <c r="U21" s="6">
        <f t="shared" si="6"/>
        <v>70.3125</v>
      </c>
      <c r="V21" s="4">
        <v>18</v>
      </c>
      <c r="W21" s="4">
        <v>6</v>
      </c>
      <c r="X21" s="34">
        <v>22</v>
      </c>
      <c r="Y21" s="18">
        <f t="shared" si="12"/>
        <v>46</v>
      </c>
      <c r="Z21" s="5">
        <f>5+19+19+19</f>
        <v>62</v>
      </c>
      <c r="AA21" s="6">
        <f t="shared" si="8"/>
        <v>74.19354838709677</v>
      </c>
      <c r="AB21" s="4">
        <v>20</v>
      </c>
      <c r="AC21" s="4">
        <v>4</v>
      </c>
      <c r="AD21" s="34">
        <v>22</v>
      </c>
      <c r="AE21" s="18">
        <f t="shared" si="13"/>
        <v>46</v>
      </c>
      <c r="AF21" s="5">
        <f>10+24+14+19</f>
        <v>67</v>
      </c>
      <c r="AG21" s="6">
        <f t="shared" si="10"/>
        <v>68.65671641791045</v>
      </c>
    </row>
    <row r="22" spans="1:33" ht="12.75">
      <c r="A22" s="15" t="s">
        <v>11</v>
      </c>
      <c r="B22" s="26">
        <v>32</v>
      </c>
      <c r="C22" s="26">
        <v>0</v>
      </c>
      <c r="D22" s="31">
        <v>28</v>
      </c>
      <c r="E22" s="26">
        <v>60</v>
      </c>
      <c r="F22" s="5">
        <v>60</v>
      </c>
      <c r="G22" s="6">
        <f t="shared" si="1"/>
        <v>100</v>
      </c>
      <c r="H22" s="4">
        <v>31</v>
      </c>
      <c r="I22" s="4">
        <v>0</v>
      </c>
      <c r="J22" s="34">
        <v>13</v>
      </c>
      <c r="K22" s="18">
        <f t="shared" si="2"/>
        <v>44</v>
      </c>
      <c r="L22" s="5">
        <f>15+14+13+15</f>
        <v>57</v>
      </c>
      <c r="M22" s="6">
        <f t="shared" si="3"/>
        <v>77.19298245614036</v>
      </c>
      <c r="N22" s="40">
        <f t="shared" si="4"/>
        <v>-3.125</v>
      </c>
      <c r="O22" s="40">
        <f t="shared" si="0"/>
        <v>-53.57142857142857</v>
      </c>
      <c r="P22" s="4">
        <v>31</v>
      </c>
      <c r="Q22" s="4">
        <v>0</v>
      </c>
      <c r="R22" s="34">
        <v>9</v>
      </c>
      <c r="S22" s="18">
        <f t="shared" si="11"/>
        <v>40</v>
      </c>
      <c r="T22" s="5">
        <f>15+14+13+15</f>
        <v>57</v>
      </c>
      <c r="U22" s="6">
        <f t="shared" si="6"/>
        <v>70.17543859649123</v>
      </c>
      <c r="V22" s="4">
        <v>28</v>
      </c>
      <c r="W22" s="4">
        <v>0</v>
      </c>
      <c r="X22" s="34">
        <v>11</v>
      </c>
      <c r="Y22" s="18">
        <f t="shared" si="12"/>
        <v>39</v>
      </c>
      <c r="Z22" s="5">
        <f>15+14+13+15</f>
        <v>57</v>
      </c>
      <c r="AA22" s="6">
        <f t="shared" si="8"/>
        <v>68.42105263157896</v>
      </c>
      <c r="AB22" s="4">
        <v>26</v>
      </c>
      <c r="AC22" s="4">
        <v>0</v>
      </c>
      <c r="AD22" s="34">
        <v>13</v>
      </c>
      <c r="AE22" s="18">
        <f t="shared" si="13"/>
        <v>39</v>
      </c>
      <c r="AF22" s="5">
        <f>15+14+13+15</f>
        <v>57</v>
      </c>
      <c r="AG22" s="6">
        <f t="shared" si="10"/>
        <v>68.42105263157896</v>
      </c>
    </row>
    <row r="23" spans="1:33" ht="12.75">
      <c r="A23" s="15" t="s">
        <v>24</v>
      </c>
      <c r="B23" s="26">
        <v>33</v>
      </c>
      <c r="C23" s="26">
        <v>2</v>
      </c>
      <c r="D23" s="31">
        <v>51</v>
      </c>
      <c r="E23" s="26">
        <v>86</v>
      </c>
      <c r="F23" s="5">
        <v>95</v>
      </c>
      <c r="G23" s="6">
        <f t="shared" si="1"/>
        <v>90.52631578947368</v>
      </c>
      <c r="H23" s="4">
        <v>42</v>
      </c>
      <c r="I23" s="4">
        <v>1</v>
      </c>
      <c r="J23" s="34">
        <v>32</v>
      </c>
      <c r="K23" s="18">
        <f t="shared" si="2"/>
        <v>75</v>
      </c>
      <c r="L23" s="5">
        <f>28+20+29+18</f>
        <v>95</v>
      </c>
      <c r="M23" s="6">
        <f t="shared" si="3"/>
        <v>78.94736842105263</v>
      </c>
      <c r="N23" s="40">
        <f t="shared" si="4"/>
        <v>27.27272727272727</v>
      </c>
      <c r="O23" s="40">
        <f t="shared" si="0"/>
        <v>-37.254901960784316</v>
      </c>
      <c r="P23" s="4">
        <v>38</v>
      </c>
      <c r="Q23" s="4">
        <v>1</v>
      </c>
      <c r="R23" s="34">
        <v>28</v>
      </c>
      <c r="S23" s="18">
        <f t="shared" si="11"/>
        <v>67</v>
      </c>
      <c r="T23" s="5">
        <f>28+20+29+18</f>
        <v>95</v>
      </c>
      <c r="U23" s="6">
        <f t="shared" si="6"/>
        <v>70.52631578947368</v>
      </c>
      <c r="V23" s="4">
        <v>37</v>
      </c>
      <c r="W23" s="4">
        <v>1</v>
      </c>
      <c r="X23" s="34">
        <v>22</v>
      </c>
      <c r="Y23" s="18">
        <f t="shared" si="12"/>
        <v>60</v>
      </c>
      <c r="Z23" s="5">
        <f>28+19+29+17</f>
        <v>93</v>
      </c>
      <c r="AA23" s="6">
        <f t="shared" si="8"/>
        <v>64.51612903225806</v>
      </c>
      <c r="AB23" s="4">
        <v>37</v>
      </c>
      <c r="AC23" s="4">
        <v>1</v>
      </c>
      <c r="AD23" s="34">
        <v>22</v>
      </c>
      <c r="AE23" s="18">
        <f t="shared" si="13"/>
        <v>60</v>
      </c>
      <c r="AF23" s="5">
        <f>27+19+28+18</f>
        <v>92</v>
      </c>
      <c r="AG23" s="6">
        <f t="shared" si="10"/>
        <v>65.21739130434783</v>
      </c>
    </row>
    <row r="24" spans="1:33" ht="12.75">
      <c r="A24" s="15" t="s">
        <v>14</v>
      </c>
      <c r="B24" s="26">
        <v>92</v>
      </c>
      <c r="C24" s="26">
        <v>3</v>
      </c>
      <c r="D24" s="31">
        <v>126</v>
      </c>
      <c r="E24" s="26">
        <v>221</v>
      </c>
      <c r="F24" s="5">
        <v>242</v>
      </c>
      <c r="G24" s="6">
        <f t="shared" si="1"/>
        <v>91.32231404958678</v>
      </c>
      <c r="H24" s="4">
        <v>86</v>
      </c>
      <c r="I24" s="4">
        <v>4</v>
      </c>
      <c r="J24" s="34">
        <v>104</v>
      </c>
      <c r="K24" s="18">
        <f t="shared" si="2"/>
        <v>194</v>
      </c>
      <c r="L24" s="5">
        <f>62+60+61+57</f>
        <v>240</v>
      </c>
      <c r="M24" s="6">
        <f t="shared" si="3"/>
        <v>80.83333333333334</v>
      </c>
      <c r="N24" s="40">
        <f t="shared" si="4"/>
        <v>-6.521739130434782</v>
      </c>
      <c r="O24" s="40">
        <f t="shared" si="0"/>
        <v>-17.46031746031746</v>
      </c>
      <c r="P24" s="4">
        <v>74</v>
      </c>
      <c r="Q24" s="4">
        <v>4</v>
      </c>
      <c r="R24" s="34">
        <v>103</v>
      </c>
      <c r="S24" s="18">
        <f t="shared" si="11"/>
        <v>181</v>
      </c>
      <c r="T24" s="5">
        <f>63+60+61+57</f>
        <v>241</v>
      </c>
      <c r="U24" s="6">
        <f t="shared" si="6"/>
        <v>75.10373443983401</v>
      </c>
      <c r="V24" s="4">
        <v>63</v>
      </c>
      <c r="W24" s="4">
        <v>6</v>
      </c>
      <c r="X24" s="34">
        <v>109</v>
      </c>
      <c r="Y24" s="18">
        <f t="shared" si="12"/>
        <v>178</v>
      </c>
      <c r="Z24" s="5">
        <f>63+61+61+57</f>
        <v>242</v>
      </c>
      <c r="AA24" s="6">
        <f t="shared" si="8"/>
        <v>73.55371900826447</v>
      </c>
      <c r="AB24" s="4">
        <v>67</v>
      </c>
      <c r="AC24" s="4">
        <v>7</v>
      </c>
      <c r="AD24" s="34">
        <v>97</v>
      </c>
      <c r="AE24" s="18">
        <f t="shared" si="13"/>
        <v>171</v>
      </c>
      <c r="AF24" s="5">
        <f>63+61+61+57</f>
        <v>242</v>
      </c>
      <c r="AG24" s="6">
        <f t="shared" si="10"/>
        <v>70.6611570247934</v>
      </c>
    </row>
    <row r="25" spans="1:33" ht="12.75">
      <c r="A25" s="15" t="s">
        <v>12</v>
      </c>
      <c r="B25" s="26">
        <v>48</v>
      </c>
      <c r="C25" s="26">
        <v>0</v>
      </c>
      <c r="D25" s="31">
        <v>19</v>
      </c>
      <c r="E25" s="26">
        <v>67</v>
      </c>
      <c r="F25" s="5">
        <v>80</v>
      </c>
      <c r="G25" s="6">
        <f t="shared" si="1"/>
        <v>83.75</v>
      </c>
      <c r="H25" s="4">
        <v>43</v>
      </c>
      <c r="I25" s="4">
        <v>4</v>
      </c>
      <c r="J25" s="34">
        <v>11</v>
      </c>
      <c r="K25" s="18">
        <f t="shared" si="2"/>
        <v>58</v>
      </c>
      <c r="L25" s="5">
        <f>21+21+22+18</f>
        <v>82</v>
      </c>
      <c r="M25" s="6">
        <f t="shared" si="3"/>
        <v>70.73170731707317</v>
      </c>
      <c r="N25" s="40">
        <f t="shared" si="4"/>
        <v>-10.416666666666668</v>
      </c>
      <c r="O25" s="40">
        <f t="shared" si="0"/>
        <v>-42.10526315789474</v>
      </c>
      <c r="P25" s="4">
        <v>37</v>
      </c>
      <c r="Q25" s="4">
        <v>7</v>
      </c>
      <c r="R25" s="34">
        <v>10</v>
      </c>
      <c r="S25" s="18">
        <f t="shared" si="11"/>
        <v>54</v>
      </c>
      <c r="T25" s="5">
        <f>21+21+22+18</f>
        <v>82</v>
      </c>
      <c r="U25" s="6">
        <f t="shared" si="6"/>
        <v>65.85365853658537</v>
      </c>
      <c r="V25" s="4">
        <v>35</v>
      </c>
      <c r="W25" s="4">
        <v>7</v>
      </c>
      <c r="X25" s="34">
        <v>10</v>
      </c>
      <c r="Y25" s="18">
        <f t="shared" si="12"/>
        <v>52</v>
      </c>
      <c r="Z25" s="5">
        <f>20+21+22+18</f>
        <v>81</v>
      </c>
      <c r="AA25" s="6">
        <f t="shared" si="8"/>
        <v>64.19753086419753</v>
      </c>
      <c r="AB25" s="4">
        <v>36</v>
      </c>
      <c r="AC25" s="4">
        <v>8</v>
      </c>
      <c r="AD25" s="34">
        <v>10</v>
      </c>
      <c r="AE25" s="18">
        <f t="shared" si="13"/>
        <v>54</v>
      </c>
      <c r="AF25" s="5">
        <f>20+21+22+18</f>
        <v>81</v>
      </c>
      <c r="AG25" s="6">
        <f t="shared" si="10"/>
        <v>66.66666666666666</v>
      </c>
    </row>
    <row r="26" spans="1:33" s="9" customFormat="1" ht="12.75" thickBot="1">
      <c r="A26" s="17"/>
      <c r="B26" s="7"/>
      <c r="C26" s="7"/>
      <c r="D26" s="32"/>
      <c r="E26" s="20"/>
      <c r="F26" s="8"/>
      <c r="G26" s="36"/>
      <c r="H26" s="7"/>
      <c r="I26" s="7"/>
      <c r="J26" s="32"/>
      <c r="K26" s="20"/>
      <c r="L26" s="8"/>
      <c r="M26" s="36"/>
      <c r="N26" s="40"/>
      <c r="O26" s="41"/>
      <c r="P26" s="7"/>
      <c r="Q26" s="7"/>
      <c r="R26" s="32"/>
      <c r="S26" s="20"/>
      <c r="T26" s="8"/>
      <c r="U26" s="36"/>
      <c r="V26" s="7"/>
      <c r="W26" s="7"/>
      <c r="X26" s="32"/>
      <c r="Y26" s="20"/>
      <c r="Z26" s="8"/>
      <c r="AA26" s="36"/>
      <c r="AB26" s="7"/>
      <c r="AC26" s="7"/>
      <c r="AD26" s="32"/>
      <c r="AE26" s="20"/>
      <c r="AF26" s="8"/>
      <c r="AG26" s="36"/>
    </row>
    <row r="27" spans="1:33" s="9" customFormat="1" ht="12.75" thickBot="1">
      <c r="A27" s="10" t="s">
        <v>13</v>
      </c>
      <c r="B27" s="11">
        <f>SUM(B6:B26)</f>
        <v>1002</v>
      </c>
      <c r="C27" s="11">
        <f>SUM(C6:C26)</f>
        <v>11</v>
      </c>
      <c r="D27" s="33">
        <f>SUM(D6:D26)</f>
        <v>958</v>
      </c>
      <c r="E27" s="11">
        <f>SUM(E6:E26)</f>
        <v>1971</v>
      </c>
      <c r="F27" s="12">
        <f>SUM(F6:F25)</f>
        <v>2167</v>
      </c>
      <c r="G27" s="6">
        <f aca="true" t="shared" si="14" ref="G27">E27/F27%</f>
        <v>90.95523765574526</v>
      </c>
      <c r="H27" s="11">
        <f>SUM(H6:H26)</f>
        <v>929</v>
      </c>
      <c r="I27" s="11">
        <f>SUM(I6:I26)</f>
        <v>39</v>
      </c>
      <c r="J27" s="33">
        <f>SUM(J6:J26)</f>
        <v>815</v>
      </c>
      <c r="K27" s="11">
        <f>SUM(K6:K26)</f>
        <v>1783</v>
      </c>
      <c r="L27" s="12">
        <f>SUM(L6:L25)</f>
        <v>2171</v>
      </c>
      <c r="M27" s="6">
        <f t="shared" si="3"/>
        <v>82.12805158912943</v>
      </c>
      <c r="N27" s="40">
        <f t="shared" si="4"/>
        <v>-7.285429141716567</v>
      </c>
      <c r="O27" s="40">
        <f>-(D27-J27)/D27%</f>
        <v>-14.926931106471816</v>
      </c>
      <c r="P27" s="11">
        <f>SUM(P6:P26)</f>
        <v>850</v>
      </c>
      <c r="Q27" s="11">
        <f>SUM(Q6:Q26)</f>
        <v>55</v>
      </c>
      <c r="R27" s="33">
        <f>SUM(R6:R26)</f>
        <v>796</v>
      </c>
      <c r="S27" s="11">
        <f>SUM(S6:S26)</f>
        <v>1701</v>
      </c>
      <c r="T27" s="12">
        <f>SUM(T6:T25)</f>
        <v>2170</v>
      </c>
      <c r="U27" s="6">
        <f aca="true" t="shared" si="15" ref="U27">S27/T27%</f>
        <v>78.38709677419355</v>
      </c>
      <c r="V27" s="11">
        <f>SUM(V6:V26)</f>
        <v>815</v>
      </c>
      <c r="W27" s="11">
        <f>SUM(W6:W26)</f>
        <v>69</v>
      </c>
      <c r="X27" s="33">
        <f>SUM(X6:X26)</f>
        <v>776</v>
      </c>
      <c r="Y27" s="11">
        <f>SUM(Y6:Y26)</f>
        <v>1660</v>
      </c>
      <c r="Z27" s="12">
        <f>SUM(Z6:Z25)</f>
        <v>2160</v>
      </c>
      <c r="AA27" s="6">
        <f aca="true" t="shared" si="16" ref="AA27">Y27/Z27%</f>
        <v>76.85185185185185</v>
      </c>
      <c r="AB27" s="11">
        <f>SUM(AB6:AB26)</f>
        <v>797</v>
      </c>
      <c r="AC27" s="11">
        <f>SUM(AC6:AC26)</f>
        <v>80</v>
      </c>
      <c r="AD27" s="33">
        <f>SUM(AD6:AD26)</f>
        <v>771</v>
      </c>
      <c r="AE27" s="11">
        <f>SUM(AE6:AE26)</f>
        <v>1648</v>
      </c>
      <c r="AF27" s="12">
        <f>SUM(AF6:AF25)</f>
        <v>2163</v>
      </c>
      <c r="AG27" s="6">
        <f aca="true" t="shared" si="17" ref="AG27">AE27/AF27%</f>
        <v>76.19047619047619</v>
      </c>
    </row>
    <row r="28" spans="1:33" ht="12.75">
      <c r="A28" s="1"/>
      <c r="B28" s="13">
        <f>B27/$E$27</f>
        <v>0.5083713850837138</v>
      </c>
      <c r="C28" s="13">
        <f aca="true" t="shared" si="18" ref="C28:E28">C27/$E$27</f>
        <v>0.005580923389142567</v>
      </c>
      <c r="D28" s="13">
        <f t="shared" si="18"/>
        <v>0.48604769152714355</v>
      </c>
      <c r="E28" s="13">
        <f t="shared" si="18"/>
        <v>1</v>
      </c>
      <c r="F28" s="1"/>
      <c r="G28" s="6"/>
      <c r="H28" s="13">
        <f>H27/$K$27</f>
        <v>0.5210319685922602</v>
      </c>
      <c r="I28" s="13">
        <f aca="true" t="shared" si="19" ref="I28:K28">I27/$K$27</f>
        <v>0.021873247335950644</v>
      </c>
      <c r="J28" s="13">
        <f t="shared" si="19"/>
        <v>0.4570947840717891</v>
      </c>
      <c r="K28" s="13">
        <f t="shared" si="19"/>
        <v>1</v>
      </c>
      <c r="L28" s="1"/>
      <c r="M28" s="6"/>
      <c r="N28" s="2"/>
      <c r="O28" s="2"/>
      <c r="P28" s="13">
        <f>P27/$S$27</f>
        <v>0.4997060552616108</v>
      </c>
      <c r="Q28" s="13">
        <f aca="true" t="shared" si="20" ref="Q28:S28">Q27/$S$27</f>
        <v>0.03233392122281011</v>
      </c>
      <c r="R28" s="13">
        <f t="shared" si="20"/>
        <v>0.4679600235155791</v>
      </c>
      <c r="S28" s="13">
        <f t="shared" si="20"/>
        <v>1</v>
      </c>
      <c r="T28" s="1"/>
      <c r="U28" s="6"/>
      <c r="V28" s="13">
        <f>V27/$S$27</f>
        <v>0.479129923574368</v>
      </c>
      <c r="W28" s="13">
        <f aca="true" t="shared" si="21" ref="W28:Y28">W27/$S$27</f>
        <v>0.04056437389770723</v>
      </c>
      <c r="X28" s="13">
        <f t="shared" si="21"/>
        <v>0.45620223398001175</v>
      </c>
      <c r="Y28" s="13">
        <f t="shared" si="21"/>
        <v>0.975896531452087</v>
      </c>
      <c r="Z28" s="1"/>
      <c r="AA28" s="6"/>
      <c r="AB28" s="13">
        <f>AB27/$S$27</f>
        <v>0.46854791299235743</v>
      </c>
      <c r="AC28" s="13">
        <f aca="true" t="shared" si="22" ref="AC28:AE28">AC27/$S$27</f>
        <v>0.047031158142269255</v>
      </c>
      <c r="AD28" s="13">
        <f t="shared" si="22"/>
        <v>0.4532627865961199</v>
      </c>
      <c r="AE28" s="13">
        <f t="shared" si="22"/>
        <v>0.9688418577307466</v>
      </c>
      <c r="AF28" s="1"/>
      <c r="AG28" s="6"/>
    </row>
    <row r="29" spans="1:30" ht="12.75">
      <c r="A29" s="3" t="s">
        <v>28</v>
      </c>
      <c r="G29" s="42" t="s">
        <v>34</v>
      </c>
      <c r="H29" s="35">
        <f>H28-B28</f>
        <v>0.012660583508546375</v>
      </c>
      <c r="I29" s="35">
        <f aca="true" t="shared" si="23" ref="I29">I28-C28</f>
        <v>0.016292323946808077</v>
      </c>
      <c r="J29" s="35">
        <f>J28-D28</f>
        <v>-0.02895290745535445</v>
      </c>
      <c r="O29" s="42" t="s">
        <v>35</v>
      </c>
      <c r="P29" s="35">
        <f>P28-$H$28</f>
        <v>-0.02132591333064937</v>
      </c>
      <c r="Q29" s="35">
        <f>Q28-$I$28</f>
        <v>0.010460673886859468</v>
      </c>
      <c r="R29" s="35">
        <f>R28-$J$28</f>
        <v>0.010865239443789976</v>
      </c>
      <c r="V29" s="35">
        <f>V28-$H$28</f>
        <v>-0.04190204501789219</v>
      </c>
      <c r="W29" s="35">
        <f>W28-$I$28</f>
        <v>0.018691126561756585</v>
      </c>
      <c r="X29" s="35">
        <f>X28-$J$28</f>
        <v>-0.0008925500917773554</v>
      </c>
      <c r="AB29" s="35">
        <f>AB28-$H$28</f>
        <v>-0.05248405559990277</v>
      </c>
      <c r="AC29" s="35">
        <f>AC28-$I$28</f>
        <v>0.02515791080631861</v>
      </c>
      <c r="AD29" s="35">
        <f>AD28-$J$28</f>
        <v>-0.003831997475669202</v>
      </c>
    </row>
    <row r="30" spans="8:31" ht="12.75">
      <c r="H30" s="43">
        <f>H27-B27</f>
        <v>-73</v>
      </c>
      <c r="I30" s="43">
        <f aca="true" t="shared" si="24" ref="I30:J30">I27-C27</f>
        <v>28</v>
      </c>
      <c r="J30" s="43">
        <f t="shared" si="24"/>
        <v>-143</v>
      </c>
      <c r="K30" s="43">
        <f>K27-E27</f>
        <v>-188</v>
      </c>
      <c r="M30" s="42" t="s">
        <v>38</v>
      </c>
      <c r="O30" s="42" t="s">
        <v>32</v>
      </c>
      <c r="P30" s="3">
        <f>P27-$H$27</f>
        <v>-79</v>
      </c>
      <c r="Q30" s="3">
        <f>Q27-$I$27</f>
        <v>16</v>
      </c>
      <c r="R30" s="3">
        <f>R27-$J$27</f>
        <v>-19</v>
      </c>
      <c r="S30" s="3">
        <f>S27-$K$27</f>
        <v>-82</v>
      </c>
      <c r="V30" s="3">
        <f>V27-$H$27</f>
        <v>-114</v>
      </c>
      <c r="W30" s="3">
        <f>W27-$I$27</f>
        <v>30</v>
      </c>
      <c r="X30" s="3">
        <f>X27-$J$27</f>
        <v>-39</v>
      </c>
      <c r="Y30" s="3">
        <f>Y27-$K$27</f>
        <v>-123</v>
      </c>
      <c r="AB30" s="3">
        <f>AB27-$H$27</f>
        <v>-132</v>
      </c>
      <c r="AC30" s="3">
        <f>AC27-$I$27</f>
        <v>41</v>
      </c>
      <c r="AD30" s="3">
        <f>AD27-$J$27</f>
        <v>-44</v>
      </c>
      <c r="AE30" s="3">
        <f>AE27-$K$27</f>
        <v>-135</v>
      </c>
    </row>
    <row r="31" ht="12.75">
      <c r="A31" s="3" t="s">
        <v>29</v>
      </c>
    </row>
    <row r="32" ht="12.75">
      <c r="A32" s="3" t="s">
        <v>37</v>
      </c>
    </row>
    <row r="34" ht="12.75">
      <c r="A34" s="3" t="s">
        <v>36</v>
      </c>
    </row>
  </sheetData>
  <mergeCells count="5">
    <mergeCell ref="D3:E3"/>
    <mergeCell ref="J3:K3"/>
    <mergeCell ref="R3:S3"/>
    <mergeCell ref="X3:Y3"/>
    <mergeCell ref="AD3:AE3"/>
  </mergeCells>
  <printOptions/>
  <pageMargins left="0.75" right="0.18" top="0.85" bottom="0.33" header="0" footer="0"/>
  <pageSetup fitToHeight="1" fitToWidth="1" horizontalDpi="600" verticalDpi="600" orientation="landscape" paperSize="8" scale="74" r:id="rId3"/>
  <headerFooter alignWithMargins="0"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børn i SFO pr. 5-9-2012</dc:title>
  <dc:subject>ØVRIGE</dc:subject>
  <dc:creator>LIAN</dc:creator>
  <cp:keywords/>
  <dc:description>Antal børn i SFO pr. 5-9-2012</dc:description>
  <cp:lastModifiedBy>Birthe Laustrup Carstensen</cp:lastModifiedBy>
  <cp:lastPrinted>2015-04-15T06:47:04Z</cp:lastPrinted>
  <dcterms:created xsi:type="dcterms:W3CDTF">2009-12-15T11:15:40Z</dcterms:created>
  <dcterms:modified xsi:type="dcterms:W3CDTF">2015-04-15T06:47:16Z</dcterms:modified>
  <cp:category/>
  <cp:version/>
  <cp:contentType/>
  <cp:contentStatus/>
</cp:coreProperties>
</file>